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<sst xmlns="http://schemas.openxmlformats.org/spreadsheetml/2006/main" count="1017" uniqueCount="237">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</sst>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120187751.54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106362529.58000001</v>
          </cell>
        </row>
      </sheetData>
      <sheetData sheetId="13">
        <row r="52">
          <cell r="B52">
            <v>35456644.39999999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53" sqref="E15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233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229</v>
      </c>
      <c r="H4" s="185" t="s">
        <v>230</v>
      </c>
      <c r="I4" s="181" t="s">
        <v>188</v>
      </c>
      <c r="J4" s="187" t="s">
        <v>189</v>
      </c>
      <c r="K4" s="176" t="s">
        <v>231</v>
      </c>
      <c r="L4" s="177"/>
      <c r="M4" s="200"/>
      <c r="N4" s="163" t="s">
        <v>236</v>
      </c>
      <c r="O4" s="181" t="s">
        <v>136</v>
      </c>
      <c r="P4" s="181" t="s">
        <v>135</v>
      </c>
      <c r="Q4" s="176" t="s">
        <v>234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228</v>
      </c>
      <c r="F5" s="203"/>
      <c r="G5" s="184"/>
      <c r="H5" s="186"/>
      <c r="I5" s="182"/>
      <c r="J5" s="188"/>
      <c r="K5" s="178"/>
      <c r="L5" s="179"/>
      <c r="M5" s="151" t="s">
        <v>232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175898.94000000003</v>
      </c>
      <c r="G8" s="22">
        <f aca="true" t="shared" si="0" ref="G8:G30">F8-E8</f>
        <v>-15772.119999999966</v>
      </c>
      <c r="H8" s="51">
        <f>F8/E8*100</f>
        <v>91.77125644320016</v>
      </c>
      <c r="I8" s="36">
        <f aca="true" t="shared" si="1" ref="I8:I17">F8-D8</f>
        <v>-312577.36</v>
      </c>
      <c r="J8" s="36">
        <f aca="true" t="shared" si="2" ref="J8:J14">F8/D8*100</f>
        <v>36.009718383471224</v>
      </c>
      <c r="K8" s="36">
        <f>F8-187134.8</f>
        <v>-11235.859999999957</v>
      </c>
      <c r="L8" s="136">
        <f>F8/187134.8</f>
        <v>0.9399584684409316</v>
      </c>
      <c r="M8" s="22">
        <f>M10+M19+M33+M56+M68+M30</f>
        <v>37449.96999999999</v>
      </c>
      <c r="N8" s="22">
        <f>N10+N19+N33+N56+N68+N30</f>
        <v>30137.18000000002</v>
      </c>
      <c r="O8" s="36">
        <f aca="true" t="shared" si="3" ref="O8:O71">N8-M8</f>
        <v>-7312.789999999968</v>
      </c>
      <c r="P8" s="36">
        <f>F8/M8*100</f>
        <v>469.690469711992</v>
      </c>
      <c r="Q8" s="36">
        <f>N8-36022.2</f>
        <v>-5885.019999999979</v>
      </c>
      <c r="R8" s="134">
        <f>N8/36022.2</f>
        <v>0.8366279683084326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142568.98</v>
      </c>
      <c r="G9" s="22">
        <f t="shared" si="0"/>
        <v>142568.98</v>
      </c>
      <c r="H9" s="20"/>
      <c r="I9" s="56">
        <f t="shared" si="1"/>
        <v>-244444.22</v>
      </c>
      <c r="J9" s="56">
        <f t="shared" si="2"/>
        <v>36.83827321652078</v>
      </c>
      <c r="K9" s="56"/>
      <c r="L9" s="135"/>
      <c r="M9" s="20">
        <f>M10+M17</f>
        <v>30408.59999999999</v>
      </c>
      <c r="N9" s="20">
        <f>N10+N17</f>
        <v>25448.830000000016</v>
      </c>
      <c r="O9" s="36">
        <f t="shared" si="3"/>
        <v>-4959.769999999975</v>
      </c>
      <c r="P9" s="56">
        <f>F9/M9*100</f>
        <v>468.84427431713414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142568.98</v>
      </c>
      <c r="G10" s="49">
        <f t="shared" si="0"/>
        <v>-13542.819999999978</v>
      </c>
      <c r="H10" s="40">
        <f aca="true" t="shared" si="4" ref="H10:H17">F10/E10*100</f>
        <v>91.32492226724695</v>
      </c>
      <c r="I10" s="56">
        <f t="shared" si="1"/>
        <v>-244444.22</v>
      </c>
      <c r="J10" s="56">
        <f t="shared" si="2"/>
        <v>36.83827321652078</v>
      </c>
      <c r="K10" s="141">
        <f>F10-145839</f>
        <v>-3270.0199999999895</v>
      </c>
      <c r="L10" s="142">
        <f>F10/145839</f>
        <v>0.9775778769739234</v>
      </c>
      <c r="M10" s="40">
        <f>E10-квітень!E10</f>
        <v>30408.59999999999</v>
      </c>
      <c r="N10" s="40">
        <f>F10-квітень!F10</f>
        <v>25448.830000000016</v>
      </c>
      <c r="O10" s="53">
        <f t="shared" si="3"/>
        <v>-4959.769999999975</v>
      </c>
      <c r="P10" s="56">
        <f aca="true" t="shared" si="5" ref="P10:P17">N10/M10*100</f>
        <v>83.68958123688701</v>
      </c>
      <c r="Q10" s="141">
        <f>N10-28567.7</f>
        <v>-3118.8699999999844</v>
      </c>
      <c r="R10" s="142">
        <f>N10/28567.7</f>
        <v>0.8908253027020031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622.89</v>
      </c>
      <c r="G19" s="49">
        <f t="shared" si="0"/>
        <v>-388.71000000000004</v>
      </c>
      <c r="H19" s="40">
        <f aca="true" t="shared" si="6" ref="H19:H29">F19/E19*100</f>
        <v>61.57473309608541</v>
      </c>
      <c r="I19" s="56">
        <f aca="true" t="shared" si="7" ref="I19:I29">F19-D19</f>
        <v>-377.11</v>
      </c>
      <c r="J19" s="56">
        <f aca="true" t="shared" si="8" ref="J19:J29">F19/D19*100</f>
        <v>62.288999999999994</v>
      </c>
      <c r="K19" s="56">
        <f>F19-5155.1</f>
        <v>-4532.21</v>
      </c>
      <c r="L19" s="135">
        <f>F19/5155.1</f>
        <v>0.1208298578107117</v>
      </c>
      <c r="M19" s="40">
        <f>E19-квітень!E19</f>
        <v>12</v>
      </c>
      <c r="N19" s="40">
        <f>F19-квітень!F19</f>
        <v>69.97000000000003</v>
      </c>
      <c r="O19" s="53">
        <f t="shared" si="3"/>
        <v>57.97000000000003</v>
      </c>
      <c r="P19" s="56">
        <f aca="true" t="shared" si="9" ref="P19:P29">N19/M19*100</f>
        <v>583.0833333333335</v>
      </c>
      <c r="Q19" s="56">
        <f>N19-419.2</f>
        <v>-349.22999999999996</v>
      </c>
      <c r="R19" s="135">
        <f>N19/419.2</f>
        <v>0.16691316793893138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30017.92</v>
      </c>
      <c r="G33" s="49">
        <f aca="true" t="shared" si="14" ref="G33:G72">F33-E33</f>
        <v>-1722.5400000000009</v>
      </c>
      <c r="H33" s="40">
        <f aca="true" t="shared" si="15" ref="H33:H67">F33/E33*100</f>
        <v>94.57304651539391</v>
      </c>
      <c r="I33" s="56">
        <f>F33-D33</f>
        <v>-63548.08</v>
      </c>
      <c r="J33" s="56">
        <f aca="true" t="shared" si="16" ref="J33:J72">F33/D33*100</f>
        <v>32.08208109783468</v>
      </c>
      <c r="K33" s="141">
        <f>F33-33465.8</f>
        <v>-3447.8800000000047</v>
      </c>
      <c r="L33" s="142">
        <f>F33/33465.8</f>
        <v>0.8969730291820305</v>
      </c>
      <c r="M33" s="40">
        <f>E33-квітень!E33</f>
        <v>6469.869999999999</v>
      </c>
      <c r="N33" s="40">
        <f>F33-квітень!F33</f>
        <v>4100.5</v>
      </c>
      <c r="O33" s="53">
        <f t="shared" si="3"/>
        <v>-2369.369999999999</v>
      </c>
      <c r="P33" s="56">
        <f aca="true" t="shared" si="17" ref="P33:P67">N33/M33*100</f>
        <v>63.37839863861253</v>
      </c>
      <c r="Q33" s="141">
        <f>N33-6537.6</f>
        <v>-2437.1000000000004</v>
      </c>
      <c r="R33" s="142">
        <f>N33/6537.2</f>
        <v>0.6272563176895307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22645.35</v>
      </c>
      <c r="G55" s="144">
        <f t="shared" si="14"/>
        <v>-904.8100000000013</v>
      </c>
      <c r="H55" s="146">
        <f t="shared" si="15"/>
        <v>96.15794542372535</v>
      </c>
      <c r="I55" s="145">
        <f t="shared" si="18"/>
        <v>-47620.65</v>
      </c>
      <c r="J55" s="145">
        <f t="shared" si="16"/>
        <v>32.22803347280335</v>
      </c>
      <c r="K55" s="148">
        <f>F55-24232.1</f>
        <v>-1586.75</v>
      </c>
      <c r="L55" s="149">
        <f>F55/24232.1</f>
        <v>0.9345186756409886</v>
      </c>
      <c r="M55" s="40">
        <f>E55-квітень!E55</f>
        <v>4739.869999999999</v>
      </c>
      <c r="N55" s="40">
        <f>F55-квітень!F55</f>
        <v>3249.949999999997</v>
      </c>
      <c r="O55" s="148">
        <f t="shared" si="3"/>
        <v>-1489.920000000002</v>
      </c>
      <c r="P55" s="148">
        <f t="shared" si="17"/>
        <v>68.56622649988286</v>
      </c>
      <c r="Q55" s="160">
        <f>N55-4803.25</f>
        <v>-1553.300000000003</v>
      </c>
      <c r="R55" s="161">
        <f>N55/4803.25</f>
        <v>0.6766147920678701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2685.31</v>
      </c>
      <c r="G56" s="49">
        <f t="shared" si="14"/>
        <v>-103.78999999999996</v>
      </c>
      <c r="H56" s="40">
        <f t="shared" si="15"/>
        <v>96.27872790505899</v>
      </c>
      <c r="I56" s="56">
        <f t="shared" si="18"/>
        <v>-4174.6900000000005</v>
      </c>
      <c r="J56" s="56">
        <f t="shared" si="16"/>
        <v>39.14446064139941</v>
      </c>
      <c r="K56" s="56">
        <f>F56-2649.7</f>
        <v>35.61000000000013</v>
      </c>
      <c r="L56" s="135">
        <f>F56/2649.7</f>
        <v>1.0134392572744084</v>
      </c>
      <c r="M56" s="40">
        <f>E56-квітень!E56</f>
        <v>551</v>
      </c>
      <c r="N56" s="40">
        <f>F56-квітень!F56</f>
        <v>517.8299999999999</v>
      </c>
      <c r="O56" s="53">
        <f t="shared" si="3"/>
        <v>-33.17000000000007</v>
      </c>
      <c r="P56" s="56">
        <f t="shared" si="17"/>
        <v>93.98003629764065</v>
      </c>
      <c r="Q56" s="56">
        <f>N56-497.8</f>
        <v>20.029999999999916</v>
      </c>
      <c r="R56" s="135">
        <f>N56/497.8</f>
        <v>1.040237042989152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5290.849999999999</v>
      </c>
      <c r="G74" s="50">
        <f aca="true" t="shared" si="24" ref="G74:G92">F74-E74</f>
        <v>-637.1500000000005</v>
      </c>
      <c r="H74" s="51">
        <f aca="true" t="shared" si="25" ref="H74:H87">F74/E74*100</f>
        <v>89.2518556005398</v>
      </c>
      <c r="I74" s="36">
        <f aca="true" t="shared" si="26" ref="I74:I92">F74-D74</f>
        <v>-13067.45</v>
      </c>
      <c r="J74" s="36">
        <f aca="true" t="shared" si="27" ref="J74:J92">F74/D74*100</f>
        <v>28.819934307642864</v>
      </c>
      <c r="K74" s="36">
        <f>F74-5538.5</f>
        <v>-247.65000000000055</v>
      </c>
      <c r="L74" s="136">
        <f>F74/7538.5</f>
        <v>0.7018438681435298</v>
      </c>
      <c r="M74" s="22">
        <f>M77+M86+M88+M89+M94+M95+M96+M97+M99+M87+M103</f>
        <v>1480.5</v>
      </c>
      <c r="N74" s="22">
        <f>N77+N86+N88+N89+N94+N95+N96+N97+N99+N32+N103+N87</f>
        <v>1104.5299999999995</v>
      </c>
      <c r="O74" s="55">
        <f aca="true" t="shared" si="28" ref="O74:O92">N74-M74</f>
        <v>-375.9700000000005</v>
      </c>
      <c r="P74" s="36">
        <f>N74/M74*100</f>
        <v>74.60520094562645</v>
      </c>
      <c r="Q74" s="36">
        <f>N74-2163.7</f>
        <v>-1059.1700000000003</v>
      </c>
      <c r="R74" s="136">
        <f>N74/2163.7</f>
        <v>0.5104820446457455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47.04</v>
      </c>
      <c r="G89" s="49">
        <f t="shared" si="24"/>
        <v>-21.96</v>
      </c>
      <c r="H89" s="40">
        <f>F89/E89*100</f>
        <v>68.17391304347827</v>
      </c>
      <c r="I89" s="56">
        <f t="shared" si="26"/>
        <v>-127.96000000000001</v>
      </c>
      <c r="J89" s="56">
        <f t="shared" si="27"/>
        <v>26.88</v>
      </c>
      <c r="K89" s="56">
        <f>F89-73.4</f>
        <v>-26.360000000000007</v>
      </c>
      <c r="L89" s="135">
        <f>F89/73.4</f>
        <v>0.6408719346049045</v>
      </c>
      <c r="M89" s="40">
        <f>E89-квітень!E89</f>
        <v>15</v>
      </c>
      <c r="N89" s="40">
        <f>F89-квітень!F89</f>
        <v>12.600000000000001</v>
      </c>
      <c r="O89" s="53">
        <f t="shared" si="28"/>
        <v>-2.3999999999999986</v>
      </c>
      <c r="P89" s="56">
        <f>N89/M89*100</f>
        <v>84.00000000000001</v>
      </c>
      <c r="Q89" s="56">
        <f>N89-7.1</f>
        <v>5.500000000000002</v>
      </c>
      <c r="R89" s="135">
        <f>N89/7.1</f>
        <v>1.774647887323944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2961.31</v>
      </c>
      <c r="G95" s="49">
        <f t="shared" si="31"/>
        <v>4.809999999999945</v>
      </c>
      <c r="H95" s="40">
        <f>F95/E95*100</f>
        <v>100.16269237273802</v>
      </c>
      <c r="I95" s="56">
        <f t="shared" si="32"/>
        <v>-4038.69</v>
      </c>
      <c r="J95" s="56">
        <f>F95/D95*100</f>
        <v>42.30442857142857</v>
      </c>
      <c r="K95" s="56">
        <f>F95-2948.4</f>
        <v>12.909999999999854</v>
      </c>
      <c r="L95" s="135">
        <f>F95/2948.4</f>
        <v>1.0043786460453126</v>
      </c>
      <c r="M95" s="40">
        <f>E95-квітень!E95</f>
        <v>575</v>
      </c>
      <c r="N95" s="40">
        <f>F95-квітень!F95</f>
        <v>578.7799999999997</v>
      </c>
      <c r="O95" s="53">
        <f t="shared" si="33"/>
        <v>3.7799999999997453</v>
      </c>
      <c r="P95" s="56">
        <f>N95/M95*100</f>
        <v>100.65739130434778</v>
      </c>
      <c r="Q95" s="56">
        <f>N95-679.2</f>
        <v>-100.4200000000003</v>
      </c>
      <c r="R95" s="135">
        <f>N95/679.2</f>
        <v>0.852149587750294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342.84</v>
      </c>
      <c r="G96" s="49">
        <f t="shared" si="31"/>
        <v>-31.660000000000025</v>
      </c>
      <c r="H96" s="40">
        <f>F96/E96*100</f>
        <v>91.5460614152203</v>
      </c>
      <c r="I96" s="56">
        <f t="shared" si="32"/>
        <v>-857.1600000000001</v>
      </c>
      <c r="J96" s="56">
        <f>F96/D96*100</f>
        <v>28.569999999999997</v>
      </c>
      <c r="K96" s="56">
        <f>F96-374</f>
        <v>-31.160000000000025</v>
      </c>
      <c r="L96" s="135">
        <f>F96/374</f>
        <v>0.9166844919786096</v>
      </c>
      <c r="M96" s="40">
        <f>E96-квітень!E96</f>
        <v>80</v>
      </c>
      <c r="N96" s="40">
        <f>F96-квітень!F96</f>
        <v>63.25</v>
      </c>
      <c r="O96" s="53">
        <f t="shared" si="33"/>
        <v>-16.75</v>
      </c>
      <c r="P96" s="56">
        <f>N96/M96*100</f>
        <v>79.0625</v>
      </c>
      <c r="Q96" s="56">
        <f>N96-68.5</f>
        <v>-5.25</v>
      </c>
      <c r="R96" s="135">
        <f>N96/68.5</f>
        <v>0.9233576642335767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1601.53</v>
      </c>
      <c r="G99" s="49">
        <f t="shared" si="31"/>
        <v>94.52999999999997</v>
      </c>
      <c r="H99" s="40">
        <f>F99/E99*100</f>
        <v>106.27272727272728</v>
      </c>
      <c r="I99" s="56">
        <f t="shared" si="32"/>
        <v>-2971.17</v>
      </c>
      <c r="J99" s="56">
        <f>F99/D99*100</f>
        <v>35.02372777571238</v>
      </c>
      <c r="K99" s="56">
        <f>F99-1665.9</f>
        <v>-64.37000000000012</v>
      </c>
      <c r="L99" s="135">
        <f>F99/1665.9</f>
        <v>0.9613602257038237</v>
      </c>
      <c r="M99" s="40">
        <f>E99-квітень!E99</f>
        <v>330</v>
      </c>
      <c r="N99" s="40">
        <f>F99-квітень!F99</f>
        <v>363.06999999999994</v>
      </c>
      <c r="O99" s="53">
        <f t="shared" si="33"/>
        <v>33.069999999999936</v>
      </c>
      <c r="P99" s="56">
        <f>N99/M99*100</f>
        <v>110.0212121212121</v>
      </c>
      <c r="Q99" s="56">
        <f>N99-671</f>
        <v>-307.93000000000006</v>
      </c>
      <c r="R99" s="135">
        <f>N99/671</f>
        <v>0.5410879284649776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289.6</v>
      </c>
      <c r="G102" s="144"/>
      <c r="H102" s="146"/>
      <c r="I102" s="145"/>
      <c r="J102" s="145"/>
      <c r="K102" s="148">
        <f>F102-184.7</f>
        <v>104.90000000000003</v>
      </c>
      <c r="L102" s="149">
        <f>F102/184.7</f>
        <v>1.567948023822415</v>
      </c>
      <c r="M102" s="40">
        <f>E102-квітень!E102</f>
        <v>0</v>
      </c>
      <c r="N102" s="40">
        <f>F102-квітень!F102</f>
        <v>54.20000000000002</v>
      </c>
      <c r="O102" s="53"/>
      <c r="P102" s="60"/>
      <c r="Q102" s="60">
        <f>N102-45.1</f>
        <v>9.100000000000016</v>
      </c>
      <c r="R102" s="138">
        <f>N102/45.1</f>
        <v>1.2017738359201777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-53.99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11.51</v>
      </c>
      <c r="G104" s="49">
        <f>F104-E104</f>
        <v>-0.6899999999999995</v>
      </c>
      <c r="H104" s="40">
        <f>F104/E104*100</f>
        <v>94.34426229508198</v>
      </c>
      <c r="I104" s="56">
        <f t="shared" si="34"/>
        <v>-33.49</v>
      </c>
      <c r="J104" s="56">
        <f aca="true" t="shared" si="36" ref="J104:J109">F104/D104*100</f>
        <v>25.577777777777776</v>
      </c>
      <c r="K104" s="56">
        <f>F104-13.3</f>
        <v>-1.790000000000001</v>
      </c>
      <c r="L104" s="135">
        <f>F104/13.3</f>
        <v>0.8654135338345864</v>
      </c>
      <c r="M104" s="40">
        <f>E104-квітень!E104</f>
        <v>3</v>
      </c>
      <c r="N104" s="40">
        <f>F104-квітень!F104</f>
        <v>2.5</v>
      </c>
      <c r="O104" s="53">
        <f t="shared" si="35"/>
        <v>-0.5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181201.34000000005</v>
      </c>
      <c r="G106" s="50">
        <f>F106-E106</f>
        <v>-16409.919999999955</v>
      </c>
      <c r="H106" s="51">
        <f>F106/E106*100</f>
        <v>91.69585781700903</v>
      </c>
      <c r="I106" s="36">
        <f t="shared" si="34"/>
        <v>-325678.2599999999</v>
      </c>
      <c r="J106" s="36">
        <f t="shared" si="36"/>
        <v>35.74839863352166</v>
      </c>
      <c r="K106" s="36">
        <f>F106-194689.2</f>
        <v>-13487.859999999957</v>
      </c>
      <c r="L106" s="136">
        <f>F106/194689.2</f>
        <v>0.9307210672189318</v>
      </c>
      <c r="M106" s="22">
        <f>M8+M74+M104+M105</f>
        <v>38933.46999999999</v>
      </c>
      <c r="N106" s="22">
        <f>N8+N74+N104+N105</f>
        <v>31244.210000000017</v>
      </c>
      <c r="O106" s="55">
        <f t="shared" si="35"/>
        <v>-7689.259999999969</v>
      </c>
      <c r="P106" s="36">
        <f>N106/M106*100</f>
        <v>80.25025768317087</v>
      </c>
      <c r="Q106" s="36">
        <f>N106-38187.1</f>
        <v>-6942.889999999981</v>
      </c>
      <c r="R106" s="136">
        <f>N106/38187.1</f>
        <v>0.8181875554833967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142911.82</v>
      </c>
      <c r="G107" s="71">
        <f>G10-G18+G96</f>
        <v>-13574.479999999978</v>
      </c>
      <c r="H107" s="72">
        <f>F107/E107*100</f>
        <v>91.32545149319782</v>
      </c>
      <c r="I107" s="52">
        <f t="shared" si="34"/>
        <v>-245301.38</v>
      </c>
      <c r="J107" s="52">
        <f t="shared" si="36"/>
        <v>36.81271528119085</v>
      </c>
      <c r="K107" s="52">
        <f>F107-146288.9</f>
        <v>-3377.079999999987</v>
      </c>
      <c r="L107" s="137">
        <f>F107/146288.9</f>
        <v>0.9769149949175913</v>
      </c>
      <c r="M107" s="71">
        <f>M10-M18+M96</f>
        <v>30488.59999999999</v>
      </c>
      <c r="N107" s="71">
        <f>N10-N18+N96</f>
        <v>25512.080000000016</v>
      </c>
      <c r="O107" s="53">
        <f t="shared" si="35"/>
        <v>-4976.519999999975</v>
      </c>
      <c r="P107" s="52">
        <f>N107/M107*100</f>
        <v>83.67744009236246</v>
      </c>
      <c r="Q107" s="52">
        <f>N107-28646.6</f>
        <v>-3134.5199999999822</v>
      </c>
      <c r="R107" s="137">
        <f>N107/28646.6</f>
        <v>0.8905796848491625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38289.52000000005</v>
      </c>
      <c r="G108" s="62">
        <f>F108-E108</f>
        <v>-2835.439999999973</v>
      </c>
      <c r="H108" s="72">
        <f>F108/E108*100</f>
        <v>93.10530636382389</v>
      </c>
      <c r="I108" s="52">
        <f t="shared" si="34"/>
        <v>-80376.87999999992</v>
      </c>
      <c r="J108" s="52">
        <f t="shared" si="36"/>
        <v>32.26652194724038</v>
      </c>
      <c r="K108" s="52">
        <f>F108-48400.3</f>
        <v>-10110.779999999955</v>
      </c>
      <c r="L108" s="137">
        <f>F108/48400.3</f>
        <v>0.7911008816061067</v>
      </c>
      <c r="M108" s="71">
        <f>M106-M107</f>
        <v>8444.869999999995</v>
      </c>
      <c r="N108" s="71">
        <f>N106-N107</f>
        <v>5732.130000000001</v>
      </c>
      <c r="O108" s="53">
        <f t="shared" si="35"/>
        <v>-2712.7399999999943</v>
      </c>
      <c r="P108" s="52">
        <f>N108/M108*100</f>
        <v>67.8770661952168</v>
      </c>
      <c r="Q108" s="52">
        <f>N108-9540.4</f>
        <v>-3808.2699999999986</v>
      </c>
      <c r="R108" s="137">
        <f>N108/9540.4</f>
        <v>0.6008270093497129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142911.82</v>
      </c>
      <c r="G109" s="111">
        <f>F109-E109</f>
        <v>-8204.579999999987</v>
      </c>
      <c r="H109" s="72">
        <f>F109/E109*100</f>
        <v>94.57068855531233</v>
      </c>
      <c r="I109" s="81">
        <f t="shared" si="34"/>
        <v>-245301.38</v>
      </c>
      <c r="J109" s="52">
        <f t="shared" si="36"/>
        <v>36.81271528119085</v>
      </c>
      <c r="K109" s="52"/>
      <c r="L109" s="137"/>
      <c r="M109" s="72">
        <f>E109-квітень!E109</f>
        <v>30488.59999999999</v>
      </c>
      <c r="N109" s="71">
        <f>N107</f>
        <v>25512.080000000016</v>
      </c>
      <c r="O109" s="118">
        <f t="shared" si="35"/>
        <v>-4976.519999999975</v>
      </c>
      <c r="P109" s="52">
        <f>N109/M109*100</f>
        <v>83.67744009236246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495.79</v>
      </c>
      <c r="G114" s="49">
        <f t="shared" si="37"/>
        <v>-873.81</v>
      </c>
      <c r="H114" s="40">
        <f aca="true" t="shared" si="39" ref="H114:H125">F114/E114*100</f>
        <v>36.19962032710281</v>
      </c>
      <c r="I114" s="60">
        <f t="shared" si="38"/>
        <v>-3175.71</v>
      </c>
      <c r="J114" s="60">
        <f aca="true" t="shared" si="40" ref="J114:J120">F114/D114*100</f>
        <v>13.503745063325617</v>
      </c>
      <c r="K114" s="60">
        <f>F114-1614.9</f>
        <v>-1119.1100000000001</v>
      </c>
      <c r="L114" s="138">
        <f>F114/1614.9</f>
        <v>0.3070097219642083</v>
      </c>
      <c r="M114" s="40">
        <f>E114-квітень!E114</f>
        <v>327.5</v>
      </c>
      <c r="N114" s="40">
        <f>F114-квітень!F114</f>
        <v>120.80000000000001</v>
      </c>
      <c r="O114" s="53">
        <f aca="true" t="shared" si="41" ref="O114:O125">N114-M114</f>
        <v>-206.7</v>
      </c>
      <c r="P114" s="60">
        <f>N114/M114*100</f>
        <v>36.885496183206115</v>
      </c>
      <c r="Q114" s="60">
        <f>N114-411.7</f>
        <v>-290.9</v>
      </c>
      <c r="R114" s="138">
        <f>N114/411.7</f>
        <v>0.2934175370415351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614.19</v>
      </c>
      <c r="G116" s="62">
        <f t="shared" si="37"/>
        <v>-867.9099999999999</v>
      </c>
      <c r="H116" s="72">
        <f t="shared" si="39"/>
        <v>41.44052358140477</v>
      </c>
      <c r="I116" s="61">
        <f t="shared" si="38"/>
        <v>-3325.41</v>
      </c>
      <c r="J116" s="61">
        <f t="shared" si="40"/>
        <v>15.590161437709412</v>
      </c>
      <c r="K116" s="61">
        <f>F116-1727</f>
        <v>-1112.81</v>
      </c>
      <c r="L116" s="139">
        <f>F116/1727</f>
        <v>0.3556398378691373</v>
      </c>
      <c r="M116" s="62">
        <f>M114+M115+M113</f>
        <v>349.5</v>
      </c>
      <c r="N116" s="38">
        <f>SUM(N113:N115)</f>
        <v>143.62</v>
      </c>
      <c r="O116" s="61">
        <f t="shared" si="41"/>
        <v>-205.88</v>
      </c>
      <c r="P116" s="61">
        <f>N116/M116*100</f>
        <v>41.09298998569385</v>
      </c>
      <c r="Q116" s="61">
        <f>N116-432.8</f>
        <v>-289.18</v>
      </c>
      <c r="R116" s="139">
        <f>N116/432.8</f>
        <v>0.3318391866913124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35039.44</v>
      </c>
      <c r="G119" s="49">
        <f t="shared" si="37"/>
        <v>3426.840000000004</v>
      </c>
      <c r="H119" s="40">
        <f t="shared" si="39"/>
        <v>110.84010805817934</v>
      </c>
      <c r="I119" s="53">
        <f t="shared" si="38"/>
        <v>-36936.55</v>
      </c>
      <c r="J119" s="60">
        <f t="shared" si="40"/>
        <v>48.68212302463641</v>
      </c>
      <c r="K119" s="60">
        <f>F119-30022.6</f>
        <v>5016.840000000004</v>
      </c>
      <c r="L119" s="138">
        <f>F119/30022.6</f>
        <v>1.1671021164056412</v>
      </c>
      <c r="M119" s="40">
        <f>E119-квітень!E119</f>
        <v>6500</v>
      </c>
      <c r="N119" s="40">
        <f>F119-квітень!F119</f>
        <v>8477.600000000002</v>
      </c>
      <c r="O119" s="53">
        <f t="shared" si="41"/>
        <v>1977.6000000000022</v>
      </c>
      <c r="P119" s="60">
        <f aca="true" t="shared" si="42" ref="P119:P124">N119/M119*100</f>
        <v>130.42461538461544</v>
      </c>
      <c r="Q119" s="60">
        <f>N119-6377.4</f>
        <v>2100.2000000000025</v>
      </c>
      <c r="R119" s="138">
        <f>N119/6377.4</f>
        <v>1.3293191582776684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1611.92</v>
      </c>
      <c r="G120" s="49">
        <f t="shared" si="37"/>
        <v>-36.07999999999993</v>
      </c>
      <c r="H120" s="40">
        <f t="shared" si="39"/>
        <v>97.81067961165049</v>
      </c>
      <c r="I120" s="60">
        <f t="shared" si="38"/>
        <v>-8388.08</v>
      </c>
      <c r="J120" s="60">
        <f t="shared" si="40"/>
        <v>16.1192</v>
      </c>
      <c r="K120" s="60">
        <f>F120-436.1</f>
        <v>1175.8200000000002</v>
      </c>
      <c r="L120" s="138">
        <f>F120/436.1</f>
        <v>3.696216464113735</v>
      </c>
      <c r="M120" s="40">
        <f>E120-квітень!E120</f>
        <v>207</v>
      </c>
      <c r="N120" s="40">
        <f>F120-квітень!F120</f>
        <v>176.92000000000007</v>
      </c>
      <c r="O120" s="53">
        <f t="shared" si="41"/>
        <v>-30.079999999999927</v>
      </c>
      <c r="P120" s="60">
        <f t="shared" si="42"/>
        <v>85.46859903381646</v>
      </c>
      <c r="Q120" s="60">
        <f>N120-0</f>
        <v>176.92000000000007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39552.65</v>
      </c>
      <c r="G123" s="62">
        <f t="shared" si="37"/>
        <v>2457.290000000001</v>
      </c>
      <c r="H123" s="72">
        <f t="shared" si="39"/>
        <v>106.62425165842843</v>
      </c>
      <c r="I123" s="61">
        <f t="shared" si="38"/>
        <v>-67768.54000000001</v>
      </c>
      <c r="J123" s="61">
        <f>F123/D123*100</f>
        <v>36.854464621571935</v>
      </c>
      <c r="K123" s="61">
        <f>F123-39215.9</f>
        <v>336.75</v>
      </c>
      <c r="L123" s="139">
        <f>F123/39215.9</f>
        <v>1.0085870782004238</v>
      </c>
      <c r="M123" s="62">
        <f>M119+M120+M121+M122+M118</f>
        <v>8471.99</v>
      </c>
      <c r="N123" s="62">
        <f>N119+N120+N121+N122+N118</f>
        <v>9363.190000000002</v>
      </c>
      <c r="O123" s="61">
        <f t="shared" si="41"/>
        <v>891.2000000000025</v>
      </c>
      <c r="P123" s="61">
        <f t="shared" si="42"/>
        <v>110.51937030142862</v>
      </c>
      <c r="Q123" s="61">
        <f>N123-6599.8</f>
        <v>2763.390000000002</v>
      </c>
      <c r="R123" s="139">
        <f>N123/6599.8</f>
        <v>1.4187081426709904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5292.82</v>
      </c>
      <c r="G127" s="49">
        <f aca="true" t="shared" si="43" ref="G127:G134">F127-E127</f>
        <v>281.3199999999997</v>
      </c>
      <c r="H127" s="40">
        <f>F127/E127*100</f>
        <v>105.61348897535667</v>
      </c>
      <c r="I127" s="60">
        <f aca="true" t="shared" si="44" ref="I127:I134">F127-D127</f>
        <v>-3407.1800000000003</v>
      </c>
      <c r="J127" s="60">
        <f>F127/D127*100</f>
        <v>60.83701149425287</v>
      </c>
      <c r="K127" s="60">
        <f>F127-6289.1</f>
        <v>-996.2800000000007</v>
      </c>
      <c r="L127" s="138">
        <f>F127/6289.1</f>
        <v>0.8415862365044282</v>
      </c>
      <c r="M127" s="40">
        <f>E127-квітень!E127</f>
        <v>2502</v>
      </c>
      <c r="N127" s="40">
        <f>F127-квітень!F127</f>
        <v>2674.39</v>
      </c>
      <c r="O127" s="53">
        <f aca="true" t="shared" si="45" ref="O127:O134">N127-M127</f>
        <v>172.38999999999987</v>
      </c>
      <c r="P127" s="60">
        <f>N127/M127*100</f>
        <v>106.89008792965626</v>
      </c>
      <c r="Q127" s="60">
        <f>N127-3456.6</f>
        <v>-782.21</v>
      </c>
      <c r="R127" s="162">
        <f>N127/3456.5</f>
        <v>0.7737277592940836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-0.08</v>
      </c>
      <c r="G128" s="49">
        <f t="shared" si="43"/>
        <v>-0.08</v>
      </c>
      <c r="H128" s="40"/>
      <c r="I128" s="60">
        <f t="shared" si="44"/>
        <v>-0.08</v>
      </c>
      <c r="J128" s="60"/>
      <c r="K128" s="60">
        <f>F128-(-0.5)</f>
        <v>0.42</v>
      </c>
      <c r="L128" s="138">
        <f>F128/(-0.5)</f>
        <v>0.16</v>
      </c>
      <c r="M128" s="40">
        <f>E128-квітень!E128</f>
        <v>0</v>
      </c>
      <c r="N128" s="40">
        <f>F128-квітень!F128</f>
        <v>0.19</v>
      </c>
      <c r="O128" s="53">
        <f t="shared" si="45"/>
        <v>0.19</v>
      </c>
      <c r="P128" s="60"/>
      <c r="Q128" s="60">
        <f>N128-0.1</f>
        <v>0.09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5321.21</v>
      </c>
      <c r="G129" s="62">
        <f t="shared" si="43"/>
        <v>288.35000000000036</v>
      </c>
      <c r="H129" s="72">
        <f>F129/E129*100</f>
        <v>105.72934673326897</v>
      </c>
      <c r="I129" s="61">
        <f t="shared" si="44"/>
        <v>-3429.4900000000007</v>
      </c>
      <c r="J129" s="61">
        <f>F129/D129*100</f>
        <v>60.80896385432022</v>
      </c>
      <c r="K129" s="61">
        <f>F129-2938.1</f>
        <v>2383.11</v>
      </c>
      <c r="L129" s="139">
        <f>G129/2938.1</f>
        <v>0.09814165617235641</v>
      </c>
      <c r="M129" s="62">
        <f>M124+M127+M128+M126</f>
        <v>2505</v>
      </c>
      <c r="N129" s="62">
        <f>N124+N127+N128+N126</f>
        <v>2675.64</v>
      </c>
      <c r="O129" s="61">
        <f t="shared" si="45"/>
        <v>170.63999999999987</v>
      </c>
      <c r="P129" s="61">
        <f>N129/M129*100</f>
        <v>106.81197604790418</v>
      </c>
      <c r="Q129" s="61">
        <f>N129-3458.2</f>
        <v>-782.56</v>
      </c>
      <c r="R129" s="137">
        <f>N129/3458.2</f>
        <v>0.7737088658839859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12.37</v>
      </c>
      <c r="G130" s="49">
        <f>F130-E130</f>
        <v>3.719999999999999</v>
      </c>
      <c r="H130" s="40">
        <f>F130/E130*100</f>
        <v>143.00578034682079</v>
      </c>
      <c r="I130" s="60">
        <f>F130-D130</f>
        <v>-17.630000000000003</v>
      </c>
      <c r="J130" s="60">
        <f>F130/D130*100</f>
        <v>41.233333333333334</v>
      </c>
      <c r="K130" s="60">
        <f>F130-9.3</f>
        <v>3.0699999999999985</v>
      </c>
      <c r="L130" s="138">
        <f>F130/9.3</f>
        <v>1.3301075268817202</v>
      </c>
      <c r="M130" s="40">
        <f>E130-квітень!E130</f>
        <v>0.40000000000000036</v>
      </c>
      <c r="N130" s="40">
        <f>F130-квітень!F130</f>
        <v>0.17999999999999972</v>
      </c>
      <c r="O130" s="53">
        <f>N130-M130</f>
        <v>-0.22000000000000064</v>
      </c>
      <c r="P130" s="60">
        <f>N130/M130*100</f>
        <v>44.99999999999989</v>
      </c>
      <c r="Q130" s="60">
        <f>N130-0.5</f>
        <v>-0.3200000000000003</v>
      </c>
      <c r="R130" s="138">
        <f>N130/0.5</f>
        <v>0.35999999999999943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45500.42</v>
      </c>
      <c r="G133" s="50">
        <f t="shared" si="43"/>
        <v>1881.449999999997</v>
      </c>
      <c r="H133" s="51">
        <f>F133/E133*100</f>
        <v>104.31337557947838</v>
      </c>
      <c r="I133" s="36">
        <f t="shared" si="44"/>
        <v>-74541.07</v>
      </c>
      <c r="J133" s="36">
        <f>F133/D133*100</f>
        <v>37.903911389303815</v>
      </c>
      <c r="K133" s="36">
        <f>F133-47348.4</f>
        <v>-1847.9800000000032</v>
      </c>
      <c r="L133" s="136">
        <f>F133/47348.4</f>
        <v>0.9609705924593016</v>
      </c>
      <c r="M133" s="31">
        <f>M116+M130+M123+M129+M132+M131</f>
        <v>11326.89</v>
      </c>
      <c r="N133" s="31">
        <f>N116+N130+N123+N129+N132+N131</f>
        <v>12182.630000000001</v>
      </c>
      <c r="O133" s="36">
        <f t="shared" si="45"/>
        <v>855.7400000000016</v>
      </c>
      <c r="P133" s="36">
        <f>N133/M133*100</f>
        <v>107.55494226570579</v>
      </c>
      <c r="Q133" s="36">
        <f>N133-10488.3</f>
        <v>1694.3300000000017</v>
      </c>
      <c r="R133" s="136">
        <f>N133/10488.3</f>
        <v>1.1615447689330016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226701.76000000007</v>
      </c>
      <c r="G134" s="50">
        <f t="shared" si="43"/>
        <v>-14528.469999999943</v>
      </c>
      <c r="H134" s="51">
        <f>F134/E134*100</f>
        <v>93.97734272358818</v>
      </c>
      <c r="I134" s="36">
        <f t="shared" si="44"/>
        <v>-400219.3299999999</v>
      </c>
      <c r="J134" s="36">
        <f>F134/D134*100</f>
        <v>36.16113153889911</v>
      </c>
      <c r="K134" s="36">
        <f>F134-242037.6</f>
        <v>-15335.839999999938</v>
      </c>
      <c r="L134" s="136">
        <f>F134/242037.6</f>
        <v>0.9366386049109727</v>
      </c>
      <c r="M134" s="22">
        <f>M106+M133</f>
        <v>50260.359999999986</v>
      </c>
      <c r="N134" s="22">
        <f>N106+N133</f>
        <v>43426.84000000002</v>
      </c>
      <c r="O134" s="36">
        <f t="shared" si="45"/>
        <v>-6833.519999999968</v>
      </c>
      <c r="P134" s="36">
        <f>N134/M134*100</f>
        <v>86.40375834952243</v>
      </c>
      <c r="Q134" s="36">
        <f>N134-48675.4</f>
        <v>-5248.559999999983</v>
      </c>
      <c r="R134" s="136">
        <f>N134/48675.4</f>
        <v>0.8921722266278247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3</v>
      </c>
      <c r="D136" s="4" t="s">
        <v>118</v>
      </c>
    </row>
    <row r="137" spans="2:17" ht="31.5">
      <c r="B137" s="78" t="s">
        <v>154</v>
      </c>
      <c r="C137" s="39">
        <f>IF(O106&lt;0,ABS(O106/C136),0)</f>
        <v>2563.0866666666566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41787</v>
      </c>
      <c r="D138" s="39">
        <v>2595.2</v>
      </c>
      <c r="N138" s="175"/>
      <c r="O138" s="175"/>
    </row>
    <row r="139" spans="3:15" ht="15.75">
      <c r="C139" s="120">
        <v>41786</v>
      </c>
      <c r="D139" s="39">
        <v>926.5</v>
      </c>
      <c r="F139" s="4" t="s">
        <v>166</v>
      </c>
      <c r="G139" s="171" t="s">
        <v>151</v>
      </c>
      <c r="H139" s="171"/>
      <c r="I139" s="115">
        <f>'[1]залишки  (2)'!$G$9/1000</f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41785</v>
      </c>
      <c r="D140" s="39">
        <v>1059.3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f>'[1]залишки  (2)'!$G$6/1000</f>
        <v>120187.75154000001</v>
      </c>
      <c r="E142" s="80"/>
      <c r="F142" s="100" t="s">
        <v>147</v>
      </c>
      <c r="G142" s="171" t="s">
        <v>149</v>
      </c>
      <c r="H142" s="171"/>
      <c r="I142" s="116">
        <f>'[1]залишки  (2)'!$G$10/1000</f>
        <v>106362.52958000002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35456.64439999999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9" t="s">
        <v>226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221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217</v>
      </c>
      <c r="H4" s="185" t="s">
        <v>218</v>
      </c>
      <c r="I4" s="181" t="s">
        <v>188</v>
      </c>
      <c r="J4" s="187" t="s">
        <v>189</v>
      </c>
      <c r="K4" s="176" t="s">
        <v>219</v>
      </c>
      <c r="L4" s="177"/>
      <c r="M4" s="200"/>
      <c r="N4" s="163" t="s">
        <v>227</v>
      </c>
      <c r="O4" s="181" t="s">
        <v>136</v>
      </c>
      <c r="P4" s="181" t="s">
        <v>135</v>
      </c>
      <c r="Q4" s="176" t="s">
        <v>222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216</v>
      </c>
      <c r="F5" s="203"/>
      <c r="G5" s="184"/>
      <c r="H5" s="186"/>
      <c r="I5" s="182"/>
      <c r="J5" s="188"/>
      <c r="K5" s="178"/>
      <c r="L5" s="179"/>
      <c r="M5" s="151" t="s">
        <v>220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5"/>
      <c r="O138" s="175"/>
    </row>
    <row r="139" spans="3:15" ht="15.75">
      <c r="C139" s="120">
        <v>41758</v>
      </c>
      <c r="D139" s="39">
        <v>5440.9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41757</v>
      </c>
      <c r="D140" s="39">
        <v>1923.2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123251.48</v>
      </c>
      <c r="E142" s="80"/>
      <c r="F142" s="100" t="s">
        <v>147</v>
      </c>
      <c r="G142" s="171" t="s">
        <v>149</v>
      </c>
      <c r="H142" s="171"/>
      <c r="I142" s="116">
        <v>109426.25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35456.64439999999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208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210</v>
      </c>
      <c r="N3" s="201" t="s">
        <v>198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207</v>
      </c>
      <c r="H4" s="185" t="s">
        <v>195</v>
      </c>
      <c r="I4" s="181" t="s">
        <v>188</v>
      </c>
      <c r="J4" s="187" t="s">
        <v>189</v>
      </c>
      <c r="K4" s="176" t="s">
        <v>196</v>
      </c>
      <c r="L4" s="177"/>
      <c r="M4" s="200"/>
      <c r="N4" s="163" t="s">
        <v>213</v>
      </c>
      <c r="O4" s="181" t="s">
        <v>136</v>
      </c>
      <c r="P4" s="181" t="s">
        <v>135</v>
      </c>
      <c r="Q4" s="176" t="s">
        <v>197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214</v>
      </c>
      <c r="F5" s="203"/>
      <c r="G5" s="184"/>
      <c r="H5" s="186"/>
      <c r="I5" s="182"/>
      <c r="J5" s="188"/>
      <c r="K5" s="178"/>
      <c r="L5" s="179"/>
      <c r="M5" s="151" t="s">
        <v>211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5"/>
      <c r="O138" s="175"/>
    </row>
    <row r="139" spans="3:15" ht="15.75">
      <c r="C139" s="120">
        <v>41726</v>
      </c>
      <c r="D139" s="39">
        <v>4682.6</v>
      </c>
      <c r="F139" s="4" t="s">
        <v>166</v>
      </c>
      <c r="G139" s="171" t="s">
        <v>151</v>
      </c>
      <c r="H139" s="171"/>
      <c r="I139" s="115"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41725</v>
      </c>
      <c r="D140" s="39">
        <v>3360.7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114985.02570999999</v>
      </c>
      <c r="E142" s="80"/>
      <c r="F142" s="100" t="s">
        <v>147</v>
      </c>
      <c r="G142" s="171" t="s">
        <v>149</v>
      </c>
      <c r="H142" s="171"/>
      <c r="I142" s="116">
        <v>101159.80375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3918.1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9" t="s">
        <v>193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187</v>
      </c>
      <c r="E3" s="46"/>
      <c r="F3" s="214" t="s">
        <v>107</v>
      </c>
      <c r="G3" s="215"/>
      <c r="H3" s="215"/>
      <c r="I3" s="215"/>
      <c r="J3" s="216"/>
      <c r="K3" s="123"/>
      <c r="L3" s="123"/>
      <c r="M3" s="217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191</v>
      </c>
      <c r="F4" s="209" t="s">
        <v>116</v>
      </c>
      <c r="G4" s="211" t="s">
        <v>167</v>
      </c>
      <c r="H4" s="185" t="s">
        <v>168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17"/>
      <c r="N4" s="163" t="s">
        <v>194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184</v>
      </c>
      <c r="L5" s="179"/>
      <c r="M5" s="217"/>
      <c r="N5" s="180"/>
      <c r="O5" s="207"/>
      <c r="P5" s="208"/>
      <c r="Q5" s="178" t="s">
        <v>199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5"/>
      <c r="O138" s="175"/>
    </row>
    <row r="139" spans="3:15" ht="15.75">
      <c r="C139" s="120">
        <v>41697</v>
      </c>
      <c r="D139" s="39">
        <v>2276.8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41696</v>
      </c>
      <c r="D140" s="39">
        <v>3746.1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121970.53</v>
      </c>
      <c r="E142" s="80"/>
      <c r="F142" s="100" t="s">
        <v>147</v>
      </c>
      <c r="G142" s="171" t="s">
        <v>149</v>
      </c>
      <c r="H142" s="171"/>
      <c r="I142" s="116">
        <v>108145.31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9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192</v>
      </c>
      <c r="E3" s="46"/>
      <c r="F3" s="214" t="s">
        <v>107</v>
      </c>
      <c r="G3" s="215"/>
      <c r="H3" s="215"/>
      <c r="I3" s="215"/>
      <c r="J3" s="216"/>
      <c r="K3" s="123"/>
      <c r="L3" s="123"/>
      <c r="M3" s="187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153</v>
      </c>
      <c r="F4" s="209" t="s">
        <v>116</v>
      </c>
      <c r="G4" s="211" t="s">
        <v>175</v>
      </c>
      <c r="H4" s="185" t="s">
        <v>176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20"/>
      <c r="N4" s="163" t="s">
        <v>186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177</v>
      </c>
      <c r="L5" s="179"/>
      <c r="M5" s="188"/>
      <c r="N5" s="180"/>
      <c r="O5" s="207"/>
      <c r="P5" s="208"/>
      <c r="Q5" s="178" t="s">
        <v>179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5"/>
      <c r="O138" s="175"/>
    </row>
    <row r="139" spans="3:15" ht="15.75">
      <c r="C139" s="120">
        <v>41669</v>
      </c>
      <c r="D139" s="39">
        <v>4752.2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41668</v>
      </c>
      <c r="D140" s="39">
        <v>1984.7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111410.62</v>
      </c>
      <c r="E142" s="80"/>
      <c r="F142" s="100" t="s">
        <v>147</v>
      </c>
      <c r="G142" s="171" t="s">
        <v>149</v>
      </c>
      <c r="H142" s="171"/>
      <c r="I142" s="116">
        <v>97585.4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2014-05-29T08:33:24Z</cp:lastPrinted>
  <dcterms:created xsi:type="dcterms:W3CDTF">2003-07-28T11:27:56Z</dcterms:created>
  <dcterms:modified xsi:type="dcterms:W3CDTF">2014-05-29T08:33:50Z</dcterms:modified>
  <cp:category/>
  <cp:version/>
  <cp:contentType/>
  <cp:contentStatus/>
</cp:coreProperties>
</file>